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5\Diretoria OS\"/>
    </mc:Choice>
  </mc:AlternateContent>
  <bookViews>
    <workbookView xWindow="0" yWindow="0" windowWidth="10890" windowHeight="5295"/>
  </bookViews>
  <sheets>
    <sheet name="IGH" sheetId="1" r:id="rId1"/>
  </sheets>
  <externalReferences>
    <externalReference r:id="rId2"/>
  </externalReferences>
  <definedNames>
    <definedName name="_xlnm._FilterDatabase" localSheetId="0" hidden="1">IGH!$A$10:$P$44</definedName>
    <definedName name="_xlnm.Print_Area" localSheetId="0">IGH!$A$1:$P$57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N37" i="1"/>
  <c r="O36" i="1"/>
  <c r="N36" i="1"/>
  <c r="O35" i="1"/>
  <c r="N35" i="1"/>
  <c r="O34" i="1"/>
  <c r="N34" i="1"/>
  <c r="O33" i="1"/>
  <c r="L33" i="1"/>
  <c r="O32" i="1"/>
  <c r="N32" i="1"/>
  <c r="O31" i="1"/>
  <c r="N31" i="1"/>
  <c r="O30" i="1"/>
  <c r="N30" i="1"/>
  <c r="O29" i="1"/>
  <c r="L29" i="1"/>
  <c r="N29" i="1"/>
  <c r="O28" i="1"/>
  <c r="N28" i="1"/>
  <c r="O27" i="1"/>
  <c r="N27" i="1"/>
  <c r="O40" i="1"/>
  <c r="L40" i="1"/>
  <c r="N40" i="1" s="1"/>
  <c r="O43" i="1"/>
  <c r="L43" i="1"/>
  <c r="A22" i="1" l="1"/>
  <c r="A21" i="1"/>
  <c r="A20" i="1"/>
  <c r="P40" i="1"/>
  <c r="L44" i="1"/>
  <c r="N44" i="1" s="1"/>
  <c r="L42" i="1"/>
  <c r="L39" i="1"/>
  <c r="L38" i="1"/>
  <c r="N39" i="1" l="1"/>
  <c r="P39" i="1" s="1"/>
  <c r="P42" i="1"/>
  <c r="P44" i="1"/>
  <c r="P37" i="1"/>
  <c r="P41" i="1"/>
  <c r="P38" i="1"/>
  <c r="P43" i="1"/>
  <c r="P34" i="1"/>
  <c r="P29" i="1"/>
  <c r="P36" i="1" l="1"/>
  <c r="P35" i="1"/>
  <c r="P33" i="1"/>
  <c r="P32" i="1"/>
  <c r="P31" i="1"/>
  <c r="P30" i="1"/>
  <c r="P28" i="1"/>
  <c r="P27" i="1"/>
  <c r="P25" i="1"/>
  <c r="L50" i="1" l="1"/>
</calcChain>
</file>

<file path=xl/sharedStrings.xml><?xml version="1.0" encoding="utf-8"?>
<sst xmlns="http://schemas.openxmlformats.org/spreadsheetml/2006/main" count="258" uniqueCount="126">
  <si>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</si>
  <si>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</si>
  <si>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</si>
  <si>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</si>
  <si>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</si>
  <si>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</si>
  <si>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</si>
  <si>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</si>
  <si>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</si>
  <si>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</si>
  <si>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</si>
  <si>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</si>
  <si>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</si>
  <si>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</si>
  <si>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</si>
  <si>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</si>
  <si>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</si>
  <si>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</si>
  <si>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</si>
  <si>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</si>
  <si>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</si>
  <si>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</si>
  <si>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</si>
  <si>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</si>
  <si>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</si>
  <si>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</si>
  <si>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</si>
  <si>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</si>
  <si>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</si>
  <si>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</si>
  <si>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</si>
  <si>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</si>
  <si>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</si>
  <si>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</si>
  <si>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</si>
  <si>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</si>
  <si>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</si>
  <si>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</si>
  <si>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</si>
  <si>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</si>
  <si>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</si>
  <si>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</si>
  <si>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</si>
  <si>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</si>
  <si>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</si>
  <si>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</si>
  <si>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</si>
  <si>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</si>
  <si>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</si>
  <si>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</si>
  <si>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</si>
  <si>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</si>
  <si>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</si>
  <si>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</si>
  <si>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</si>
  <si>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</si>
  <si>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</si>
  <si>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</si>
  <si>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</si>
  <si>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</si>
  <si>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</si>
  <si>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</si>
  <si>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</si>
  <si>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</si>
  <si>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</si>
  <si>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</si>
  <si>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</si>
  <si>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</si>
  <si>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</si>
  <si>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</si>
  <si>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</si>
  <si>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</si>
  <si>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</si>
  <si>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</si>
  <si>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</si>
  <si>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</si>
  <si>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</si>
  <si>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ASSESSOR (A) JURÍDICO (A)</t>
  </si>
  <si>
    <t>MARIA CARLA BAETA VIEIRA LOPES</t>
  </si>
  <si>
    <t>maria.carla@igh.org.br</t>
  </si>
  <si>
    <t>DAYANA SANTOS SOARES FRANCA</t>
  </si>
  <si>
    <t>COORDENADOR (A) FISCAL</t>
  </si>
  <si>
    <t>dayana.franca@igh.org.br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</si>
  <si>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</si>
  <si>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</si>
  <si>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</si>
  <si>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</si>
  <si>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(7) INTEGRA FOLHA DE PAGAMENTO DO ESCRITÓRIO REGIONAL DE GOIÁS (ERG)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</si>
  <si>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</si>
  <si>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</si>
  <si>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</si>
  <si>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</si>
  <si>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</si>
  <si>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</si>
  <si>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</si>
  <si>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</si>
  <si>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</si>
  <si>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</si>
  <si>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</si>
  <si>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</si>
  <si>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</si>
  <si>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>SUPERVISOR (A) DE CUSTOS</t>
  </si>
  <si>
    <t>(5)</t>
  </si>
  <si>
    <t>aline.lopes@igh.org.br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</si>
  <si>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</si>
  <si>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</si>
  <si>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</si>
  <si>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</si>
  <si>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</si>
  <si>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</si>
  <si>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</si>
  <si>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</si>
  <si>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</si>
  <si>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</si>
  <si>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</si>
  <si>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</si>
  <si>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</si>
  <si>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</si>
  <si>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</si>
  <si>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</si>
  <si>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 xml:space="preserve"> (5)</t>
  </si>
  <si>
    <t>RICARDO SOUTO MAIA MATHIAS</t>
  </si>
  <si>
    <t>ricardo.mathias@igh.org.br</t>
  </si>
  <si>
    <t>ANITA MARCIA DE AGUIAR ALMEIDA SILVA</t>
  </si>
  <si>
    <t>CHRISTIANE GODINHO KOESTER</t>
  </si>
  <si>
    <t>CONSELHO FISCAL (SUPLENTE)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</si>
</sst>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14" fontId="7" fillId="3" borderId="0" xfId="1" applyNumberFormat="1" applyFont="1" applyFill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14</xdr:col>
      <xdr:colOff>86698</xdr:colOff>
      <xdr:row>0</xdr:row>
      <xdr:rowOff>66334</xdr:rowOff>
    </xdr:from>
    <xdr:to>
      <xdr:col>16</xdr:col>
      <xdr:colOff>202792</xdr:colOff>
      <xdr:row>2</xdr:row>
      <xdr:rowOff>196655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1886" y="66334"/>
          <a:ext cx="2497344" cy="8446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12.2024/ERG/REMUNERA&#199;&#195;O%20ERG%20-%2012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</row>
        <row r="2">
          <cell r="B2" t="str">
            <v>HALLISON MATHEUS ASSIS DE SOUZA</v>
          </cell>
          <cell r="C2" t="str">
            <v>ADVOGADO</v>
          </cell>
          <cell r="D2">
            <v>26</v>
          </cell>
          <cell r="E2" t="str">
            <v>ERG - ASSESSORIA JURÍDICA</v>
          </cell>
          <cell r="F2" t="str">
            <v xml:space="preserve">ADVOGADO (A) 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12</v>
          </cell>
          <cell r="L2">
            <v>0</v>
          </cell>
          <cell r="M2">
            <v>6385.43</v>
          </cell>
          <cell r="N2">
            <v>6704.7</v>
          </cell>
          <cell r="O2">
            <v>1496.95</v>
          </cell>
          <cell r="P2">
            <v>5207.75</v>
          </cell>
        </row>
        <row r="3">
          <cell r="B3" t="str">
            <v>MARIA FERNANDA COSTA DE ARAUJO</v>
          </cell>
          <cell r="C3" t="str">
            <v>ESTAGIÁRIO (A)</v>
          </cell>
          <cell r="D3">
            <v>26</v>
          </cell>
          <cell r="E3" t="str">
            <v>ERG - GESTÃO DE RECURSOS HUMANOS</v>
          </cell>
          <cell r="F3" t="str">
            <v>ESTAGIARIO (A)</v>
          </cell>
          <cell r="G3" t="str">
            <v>T</v>
          </cell>
          <cell r="H3" t="str">
            <v>A</v>
          </cell>
          <cell r="I3">
            <v>0</v>
          </cell>
          <cell r="J3">
            <v>2024</v>
          </cell>
          <cell r="K3">
            <v>12</v>
          </cell>
          <cell r="L3">
            <v>0</v>
          </cell>
          <cell r="M3">
            <v>600</v>
          </cell>
          <cell r="N3">
            <v>600</v>
          </cell>
          <cell r="O3">
            <v>0</v>
          </cell>
          <cell r="P3">
            <v>600</v>
          </cell>
        </row>
        <row r="4">
          <cell r="B4" t="str">
            <v>LEONARDO EDER DE JESUS SANTOS</v>
          </cell>
          <cell r="C4" t="str">
            <v>ANALISTA</v>
          </cell>
          <cell r="D4">
            <v>26</v>
          </cell>
          <cell r="E4" t="str">
            <v>ERG - GESTÃO CONTABIL E FISCAL</v>
          </cell>
          <cell r="F4" t="str">
            <v>ANALISTA CONTABIL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12</v>
          </cell>
          <cell r="L4">
            <v>0</v>
          </cell>
          <cell r="M4">
            <v>3492.96</v>
          </cell>
          <cell r="N4">
            <v>3932.96</v>
          </cell>
          <cell r="O4">
            <v>375.75</v>
          </cell>
          <cell r="P4">
            <v>3557.21</v>
          </cell>
        </row>
        <row r="5">
          <cell r="B5" t="str">
            <v>IGOR SOUZA BRASIL HOLANDA</v>
          </cell>
          <cell r="C5" t="str">
            <v>ANALISTA</v>
          </cell>
          <cell r="D5">
            <v>26</v>
          </cell>
          <cell r="E5" t="str">
            <v>ERG - GESTÃO DE COMUNICACAO</v>
          </cell>
          <cell r="F5" t="str">
            <v>ANALISTA DE MARKETING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12</v>
          </cell>
          <cell r="L5">
            <v>0</v>
          </cell>
          <cell r="M5">
            <v>4122.4399999999996</v>
          </cell>
          <cell r="N5">
            <v>4328.5600000000004</v>
          </cell>
          <cell r="O5">
            <v>789.48</v>
          </cell>
          <cell r="P5">
            <v>3539.08</v>
          </cell>
        </row>
        <row r="6">
          <cell r="B6" t="str">
            <v>NATASHA LIMA FAGUNDES FURTADO</v>
          </cell>
          <cell r="C6" t="str">
            <v>ADVOGADO</v>
          </cell>
          <cell r="D6">
            <v>26</v>
          </cell>
          <cell r="E6" t="str">
            <v>ERG - ASSESSORIA JURÍDICA</v>
          </cell>
          <cell r="F6" t="str">
            <v xml:space="preserve">ADVOGADO (A) 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12</v>
          </cell>
          <cell r="L6">
            <v>0</v>
          </cell>
          <cell r="M6">
            <v>6385.43</v>
          </cell>
          <cell r="N6">
            <v>6704.7</v>
          </cell>
          <cell r="O6">
            <v>1496.95</v>
          </cell>
          <cell r="P6">
            <v>5207.75</v>
          </cell>
        </row>
        <row r="7">
          <cell r="B7" t="str">
            <v>SUSANA CARDIM GARRIDO</v>
          </cell>
          <cell r="C7" t="str">
            <v>SUPERVISOR</v>
          </cell>
          <cell r="D7">
            <v>26</v>
          </cell>
          <cell r="E7" t="str">
            <v>ERG - GESTÃO CONTABIL E FISCAL</v>
          </cell>
          <cell r="F7" t="str">
            <v>SUPERVISOR (A) DE PATRIMONIO</v>
          </cell>
          <cell r="G7" t="str">
            <v>N</v>
          </cell>
          <cell r="H7" t="str">
            <v>A</v>
          </cell>
          <cell r="I7">
            <v>2858.21</v>
          </cell>
          <cell r="J7">
            <v>2024</v>
          </cell>
          <cell r="K7">
            <v>12</v>
          </cell>
          <cell r="L7">
            <v>0</v>
          </cell>
          <cell r="M7">
            <v>6430.98</v>
          </cell>
          <cell r="N7">
            <v>7585.53</v>
          </cell>
          <cell r="O7">
            <v>3582.21</v>
          </cell>
          <cell r="P7">
            <v>4003.32</v>
          </cell>
        </row>
        <row r="8">
          <cell r="B8" t="str">
            <v>AMANDA ISABELLE DE CARVALHO</v>
          </cell>
          <cell r="C8" t="str">
            <v>ADVOGADO</v>
          </cell>
          <cell r="D8">
            <v>26</v>
          </cell>
          <cell r="E8" t="str">
            <v>ERG - ASSESSORIA JURÍDICA</v>
          </cell>
          <cell r="F8" t="str">
            <v>ADVOGADO (A) TRABALHISTA</v>
          </cell>
          <cell r="G8" t="str">
            <v>N</v>
          </cell>
          <cell r="H8" t="str">
            <v>F</v>
          </cell>
          <cell r="I8">
            <v>4469.8</v>
          </cell>
          <cell r="J8">
            <v>2024</v>
          </cell>
          <cell r="K8">
            <v>12</v>
          </cell>
          <cell r="L8">
            <v>0</v>
          </cell>
          <cell r="M8">
            <v>6385.43</v>
          </cell>
          <cell r="N8">
            <v>8269.1299999999992</v>
          </cell>
          <cell r="O8">
            <v>5102.91</v>
          </cell>
          <cell r="P8">
            <v>3166.22</v>
          </cell>
        </row>
        <row r="9">
          <cell r="B9" t="str">
            <v>ISABELA DOS SANTOS LEAL</v>
          </cell>
          <cell r="C9" t="str">
            <v>ASSISTENTE</v>
          </cell>
          <cell r="D9">
            <v>26</v>
          </cell>
          <cell r="E9" t="str">
            <v>ERG - GESTÃO DE COMPRAS</v>
          </cell>
          <cell r="F9" t="str">
            <v>ASSISTENTE ADMINISTRATIVO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12</v>
          </cell>
          <cell r="L9">
            <v>0</v>
          </cell>
          <cell r="M9">
            <v>2473.4299999999998</v>
          </cell>
          <cell r="N9">
            <v>2580.34</v>
          </cell>
          <cell r="O9">
            <v>211.05</v>
          </cell>
          <cell r="P9">
            <v>2369.29</v>
          </cell>
        </row>
        <row r="10">
          <cell r="B10" t="str">
            <v>BRUNA MIRELLA SANTOS CARDOSO</v>
          </cell>
          <cell r="C10" t="str">
            <v>ASSISTENTE</v>
          </cell>
          <cell r="D10">
            <v>26</v>
          </cell>
          <cell r="E10" t="str">
            <v>ERG - GESTÃO DE COMPRAS</v>
          </cell>
          <cell r="F10" t="str">
            <v>ASSISTENTE DE COMPRAS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12</v>
          </cell>
          <cell r="L10">
            <v>0</v>
          </cell>
          <cell r="M10">
            <v>2936.39</v>
          </cell>
          <cell r="N10">
            <v>3738.81</v>
          </cell>
          <cell r="O10">
            <v>288.24</v>
          </cell>
          <cell r="P10">
            <v>3450.57</v>
          </cell>
        </row>
        <row r="11">
          <cell r="B11" t="str">
            <v>CYNTIA MAIRA MARTINS MENDES SOUZA GONCALVES</v>
          </cell>
          <cell r="C11" t="str">
            <v>SUPERVISOR</v>
          </cell>
          <cell r="D11">
            <v>26</v>
          </cell>
          <cell r="E11" t="str">
            <v>ERG - COMPLIANCE</v>
          </cell>
          <cell r="F11" t="str">
            <v>SUPERVISOR (A) DE CONTRATOS</v>
          </cell>
          <cell r="G11" t="str">
            <v>N</v>
          </cell>
          <cell r="H11" t="str">
            <v>F</v>
          </cell>
          <cell r="I11">
            <v>9003.3700000000008</v>
          </cell>
          <cell r="J11">
            <v>2024</v>
          </cell>
          <cell r="K11">
            <v>12</v>
          </cell>
          <cell r="L11">
            <v>0</v>
          </cell>
          <cell r="M11">
            <v>6430.98</v>
          </cell>
          <cell r="N11">
            <v>10804.05</v>
          </cell>
          <cell r="O11">
            <v>9169.06</v>
          </cell>
          <cell r="P11">
            <v>1634.99</v>
          </cell>
        </row>
        <row r="12">
          <cell r="B12" t="str">
            <v>EDUARDA ALICIA GOMES TABOSA</v>
          </cell>
          <cell r="C12" t="str">
            <v>ASSISTENTE</v>
          </cell>
          <cell r="D12">
            <v>26</v>
          </cell>
          <cell r="E12" t="str">
            <v>ERG - CSC - CENTRO DE SERVIÇOS COMPARTILHADOS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1731.4</v>
          </cell>
          <cell r="J12">
            <v>2024</v>
          </cell>
          <cell r="K12">
            <v>12</v>
          </cell>
          <cell r="L12">
            <v>0</v>
          </cell>
          <cell r="M12">
            <v>2473.4299999999998</v>
          </cell>
          <cell r="N12">
            <v>3029.96</v>
          </cell>
          <cell r="O12">
            <v>1859.17</v>
          </cell>
          <cell r="P12">
            <v>1170.79</v>
          </cell>
        </row>
        <row r="13">
          <cell r="B13" t="str">
            <v>KAIRA MARTINS AZEVEDO</v>
          </cell>
          <cell r="C13" t="str">
            <v>SUPERVISOR</v>
          </cell>
          <cell r="D13">
            <v>26</v>
          </cell>
          <cell r="E13" t="str">
            <v>ERG - GESTÃO DE RECURSOS HUMANOS</v>
          </cell>
          <cell r="F13" t="str">
            <v>SUPERVISOR (A) DE DEPARTAMENTO PESSOAL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12</v>
          </cell>
          <cell r="L13">
            <v>0</v>
          </cell>
          <cell r="M13">
            <v>6430.98</v>
          </cell>
          <cell r="N13">
            <v>6752.53</v>
          </cell>
          <cell r="O13">
            <v>1514.96</v>
          </cell>
          <cell r="P13">
            <v>5237.57</v>
          </cell>
        </row>
        <row r="14">
          <cell r="B14" t="str">
            <v>ALEX LEAO BUENO</v>
          </cell>
          <cell r="C14" t="str">
            <v>SUPERVISOR</v>
          </cell>
          <cell r="D14">
            <v>26</v>
          </cell>
          <cell r="E14" t="str">
            <v>ERG - GESTÃO DE RECURSOS HUMANOS</v>
          </cell>
          <cell r="F14" t="str">
            <v>SUPERVISOR (A) DE RECURSOS HUMANOS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12</v>
          </cell>
          <cell r="L14">
            <v>0</v>
          </cell>
          <cell r="M14">
            <v>6430.98</v>
          </cell>
          <cell r="N14">
            <v>6752.53</v>
          </cell>
          <cell r="O14">
            <v>1514.96</v>
          </cell>
          <cell r="P14">
            <v>5237.57</v>
          </cell>
        </row>
        <row r="15">
          <cell r="B15" t="str">
            <v>MARIA CARLA BAETA VIEIRA LOPES</v>
          </cell>
          <cell r="C15" t="str">
            <v>ADVOGADO</v>
          </cell>
          <cell r="D15">
            <v>26</v>
          </cell>
          <cell r="E15" t="str">
            <v>ERG - ASSESSORIA JURÍDICA</v>
          </cell>
          <cell r="F15" t="str">
            <v>ASSESSOR (A) JURÍDICO (A)</v>
          </cell>
          <cell r="G15" t="str">
            <v>N</v>
          </cell>
          <cell r="H15" t="str">
            <v>A</v>
          </cell>
          <cell r="I15">
            <v>5080.3999999999996</v>
          </cell>
          <cell r="J15">
            <v>2024</v>
          </cell>
          <cell r="K15">
            <v>12</v>
          </cell>
          <cell r="L15">
            <v>0</v>
          </cell>
          <cell r="M15">
            <v>10886.57</v>
          </cell>
          <cell r="N15">
            <v>12701</v>
          </cell>
          <cell r="O15">
            <v>6503.52</v>
          </cell>
          <cell r="P15">
            <v>6197.48</v>
          </cell>
        </row>
        <row r="16">
          <cell r="B16" t="str">
            <v>DANIELLY EVELYN PEREIRA DA CRUZ</v>
          </cell>
          <cell r="C16" t="str">
            <v>SUPERVISOR</v>
          </cell>
          <cell r="D16">
            <v>26</v>
          </cell>
          <cell r="E16" t="str">
            <v>ERG - GESTÃO DE COMPRAS</v>
          </cell>
          <cell r="F16" t="str">
            <v>SUPERVISOR (A) DE COMPRAS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12</v>
          </cell>
          <cell r="L16">
            <v>0</v>
          </cell>
          <cell r="M16">
            <v>6430.98</v>
          </cell>
          <cell r="N16">
            <v>6945.46</v>
          </cell>
          <cell r="O16">
            <v>1535.46</v>
          </cell>
          <cell r="P16">
            <v>5410</v>
          </cell>
        </row>
        <row r="17">
          <cell r="B17" t="str">
            <v>DAYANA SANTOS SOARES FRANCA</v>
          </cell>
          <cell r="C17" t="str">
            <v>COORDENADOR (A)</v>
          </cell>
          <cell r="D17">
            <v>26</v>
          </cell>
          <cell r="E17" t="str">
            <v>ERG - GESTÃO CONTABIL E FISCAL</v>
          </cell>
          <cell r="F17" t="str">
            <v>COORDENADOR (A) FISCAL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12</v>
          </cell>
          <cell r="L17">
            <v>0</v>
          </cell>
          <cell r="M17">
            <v>8244.85</v>
          </cell>
          <cell r="N17">
            <v>9069.33</v>
          </cell>
          <cell r="O17">
            <v>2281.98</v>
          </cell>
          <cell r="P17">
            <v>6787.35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camila.azevedo@igh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icardo.mathias@igh.org.br" TargetMode="External"/><Relationship Id="rId21" Type="http://schemas.openxmlformats.org/officeDocument/2006/relationships/hyperlink" Target="mailto:danielly.cruz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Iasmin.freitas@igh.org.br" TargetMode="External"/><Relationship Id="rId25" Type="http://schemas.openxmlformats.org/officeDocument/2006/relationships/hyperlink" Target="mailto:geraldo.brito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marcela.menezes@igh.org.br" TargetMode="External"/><Relationship Id="rId20" Type="http://schemas.openxmlformats.org/officeDocument/2006/relationships/hyperlink" Target="mailto:fabio.teixeira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jorge.faco@igh.com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kaira.azevedo@igh.org.br" TargetMode="External"/><Relationship Id="rId23" Type="http://schemas.openxmlformats.org/officeDocument/2006/relationships/hyperlink" Target="mailto:alex.leao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susana.cardim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cyntia.mendes@igh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7"/>
  <sheetViews>
    <sheetView showGridLines="0" tabSelected="1" view="pageBreakPreview" topLeftCell="A24" zoomScale="80" zoomScaleNormal="80" zoomScaleSheetLayoutView="80" workbookViewId="0">
      <selection activeCell="D29" sqref="D29"/>
    </sheetView>
  </sheetViews>
  <sheetFormatPr defaultColWidth="11.5703125" defaultRowHeight="28.5" customHeight="1"/>
  <cols>
    <col min="1" max="2" width="11.5703125" style="1" customWidth="1"/>
    <col min="3" max="3" width="11.7109375" style="1" customWidth="1"/>
    <col min="4" max="4" width="11.42578125" style="1" customWidth="1"/>
    <col min="5" max="5" width="10" style="1" customWidth="1"/>
    <col min="6" max="6" width="14.140625" style="2" bestFit="1" customWidth="1"/>
    <col min="7" max="7" width="28.140625" style="2" customWidth="1"/>
    <col min="8" max="8" width="16" style="2" bestFit="1" customWidth="1"/>
    <col min="9" max="9" width="52" style="3" bestFit="1" customWidth="1"/>
    <col min="10" max="10" width="17.28515625" style="1" bestFit="1" customWidth="1"/>
    <col min="11" max="11" width="38.28515625" style="1" customWidth="1"/>
    <col min="12" max="12" width="19.28515625" style="1" customWidth="1"/>
    <col min="13" max="13" width="13" style="1" customWidth="1"/>
    <col min="14" max="14" width="18.42578125" style="1" customWidth="1"/>
    <col min="15" max="15" width="20" style="1" customWidth="1"/>
    <col min="16" max="16" width="15.7109375" style="1" customWidth="1"/>
    <col min="17" max="18" width="11.5703125" style="4"/>
    <col min="19" max="16384" width="11.5703125" style="1"/>
  </cols>
  <sheetData>
    <row r="3" spans="1:19" ht="28.5" customHeight="1">
      <c r="A3" s="43" t="s">
        <v>72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6" spans="1:19" ht="28.5" customHeight="1">
      <c r="A6" s="1" t="s">
        <v>0</v>
      </c>
    </row>
    <row r="8" spans="1:19" s="4" customFormat="1" ht="28.5" customHeight="1">
      <c r="A8" s="5" t="s">
        <v>1</v>
      </c>
      <c r="B8" s="6">
        <v>45658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8.5" customHeight="1">
      <c r="A10" s="41" t="s">
        <v>2</v>
      </c>
      <c r="B10" s="41"/>
      <c r="C10" s="41"/>
      <c r="D10" s="41"/>
      <c r="E10" s="42"/>
      <c r="F10" s="7" t="s">
        <v>3</v>
      </c>
      <c r="G10" s="7" t="s">
        <v>116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8.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8.5" customHeight="1">
      <c r="A12" s="13" t="s">
        <v>20</v>
      </c>
      <c r="B12" s="14"/>
      <c r="C12" s="14"/>
      <c r="D12" s="14"/>
      <c r="E12" s="14"/>
      <c r="F12" s="15" t="s">
        <v>85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8.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8.5" customHeight="1">
      <c r="A14" s="13" t="s">
        <v>86</v>
      </c>
      <c r="B14" s="14"/>
      <c r="C14" s="14"/>
      <c r="D14" s="14"/>
      <c r="E14" s="14"/>
      <c r="F14" s="15" t="s">
        <v>85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8.5" customHeight="1">
      <c r="A15" s="13" t="s">
        <v>83</v>
      </c>
      <c r="B15" s="14"/>
      <c r="C15" s="14"/>
      <c r="D15" s="14"/>
      <c r="E15" s="14"/>
      <c r="F15" s="15" t="s">
        <v>85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8.5" customHeight="1">
      <c r="A16" s="13" t="s">
        <v>25</v>
      </c>
      <c r="B16" s="14"/>
      <c r="C16" s="14"/>
      <c r="D16" s="14"/>
      <c r="E16" s="14"/>
      <c r="F16" s="15" t="s">
        <v>85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7" s="4" customFormat="1" ht="28.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7" s="4" customFormat="1" ht="28.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7" s="4" customFormat="1" ht="28.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7" s="4" customFormat="1" ht="28.5" customHeight="1">
      <c r="A20" s="46" t="e">
        <f>UPPER(#REF!)</f>
        <v>#REF!</v>
      </c>
      <c r="B20" s="47"/>
      <c r="C20" s="47"/>
      <c r="D20" s="47"/>
      <c r="E20" s="48"/>
      <c r="F20" s="15" t="s">
        <v>14</v>
      </c>
      <c r="G20" s="16" t="s">
        <v>15</v>
      </c>
      <c r="H20" s="16" t="s">
        <v>16</v>
      </c>
      <c r="I20" s="17" t="s">
        <v>125</v>
      </c>
      <c r="J20" s="18" t="s">
        <v>18</v>
      </c>
      <c r="K20" s="19"/>
      <c r="L20" s="18">
        <v>0</v>
      </c>
      <c r="M20" s="18">
        <v>0</v>
      </c>
      <c r="N20" s="18">
        <v>0</v>
      </c>
      <c r="O20" s="18">
        <v>0</v>
      </c>
      <c r="P20" s="18">
        <v>0</v>
      </c>
    </row>
    <row r="21" spans="1:17" s="4" customFormat="1" ht="28.5" customHeight="1">
      <c r="A21" s="46" t="e">
        <f>UPPER(#REF!)</f>
        <v>#REF!</v>
      </c>
      <c r="B21" s="47"/>
      <c r="C21" s="47"/>
      <c r="D21" s="47"/>
      <c r="E21" s="48"/>
      <c r="F21" s="15" t="s">
        <v>14</v>
      </c>
      <c r="G21" s="16" t="s">
        <v>15</v>
      </c>
      <c r="H21" s="16" t="s">
        <v>16</v>
      </c>
      <c r="I21" s="17" t="s">
        <v>125</v>
      </c>
      <c r="J21" s="18" t="s">
        <v>18</v>
      </c>
      <c r="K21" s="19" t="s">
        <v>29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</row>
    <row r="22" spans="1:17" s="4" customFormat="1" ht="28.5" customHeight="1">
      <c r="A22" s="46" t="e">
        <f>UPPER(#REF!)</f>
        <v>#REF!</v>
      </c>
      <c r="B22" s="47"/>
      <c r="C22" s="47"/>
      <c r="D22" s="47"/>
      <c r="E22" s="48"/>
      <c r="F22" s="15" t="s">
        <v>14</v>
      </c>
      <c r="G22" s="16" t="s">
        <v>15</v>
      </c>
      <c r="H22" s="16" t="s">
        <v>16</v>
      </c>
      <c r="I22" s="17" t="s">
        <v>125</v>
      </c>
      <c r="J22" s="18" t="s">
        <v>18</v>
      </c>
      <c r="K22" s="19" t="s">
        <v>31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</row>
    <row r="23" spans="1:17" s="4" customFormat="1" ht="28.5" customHeight="1">
      <c r="A23" s="13" t="s">
        <v>32</v>
      </c>
      <c r="B23" s="14"/>
      <c r="C23" s="14"/>
      <c r="D23" s="14"/>
      <c r="E23" s="14"/>
      <c r="F23" s="15" t="s">
        <v>33</v>
      </c>
      <c r="G23" s="16" t="s">
        <v>15</v>
      </c>
      <c r="H23" s="16" t="s">
        <v>34</v>
      </c>
      <c r="I23" s="17" t="s">
        <v>35</v>
      </c>
      <c r="J23" s="18" t="s">
        <v>18</v>
      </c>
      <c r="K23" s="19" t="s">
        <v>36</v>
      </c>
      <c r="L23" s="18">
        <v>0</v>
      </c>
      <c r="M23" s="18">
        <v>0</v>
      </c>
      <c r="N23" s="18">
        <v>0</v>
      </c>
      <c r="O23" s="18">
        <v>0</v>
      </c>
      <c r="P23" s="18">
        <v>37500</v>
      </c>
    </row>
    <row r="24" spans="1:17" s="4" customFormat="1" ht="28.5" customHeight="1">
      <c r="A24" s="13" t="s">
        <v>121</v>
      </c>
      <c r="B24" s="14"/>
      <c r="C24" s="14"/>
      <c r="D24" s="14"/>
      <c r="E24" s="14"/>
      <c r="F24" s="15" t="s">
        <v>120</v>
      </c>
      <c r="G24" s="16" t="s">
        <v>15</v>
      </c>
      <c r="H24" s="16" t="s">
        <v>34</v>
      </c>
      <c r="I24" s="17" t="s">
        <v>37</v>
      </c>
      <c r="J24" s="18" t="s">
        <v>18</v>
      </c>
      <c r="K24" s="20" t="s">
        <v>122</v>
      </c>
      <c r="L24" s="18">
        <v>0</v>
      </c>
      <c r="M24" s="18">
        <v>0</v>
      </c>
      <c r="N24" s="18">
        <v>0</v>
      </c>
      <c r="O24" s="18">
        <v>0</v>
      </c>
      <c r="P24" s="18">
        <v>24000</v>
      </c>
    </row>
    <row r="25" spans="1:17" s="4" customFormat="1" ht="28.5" customHeight="1">
      <c r="A25" s="13" t="s">
        <v>38</v>
      </c>
      <c r="B25" s="14"/>
      <c r="C25" s="14"/>
      <c r="D25" s="14"/>
      <c r="E25" s="14"/>
      <c r="F25" s="15" t="s">
        <v>102</v>
      </c>
      <c r="G25" s="16" t="s">
        <v>15</v>
      </c>
      <c r="H25" s="16" t="s">
        <v>34</v>
      </c>
      <c r="I25" s="17" t="s">
        <v>39</v>
      </c>
      <c r="J25" s="18" t="s">
        <v>18</v>
      </c>
      <c r="K25" s="19" t="s">
        <v>40</v>
      </c>
      <c r="L25" s="18">
        <v>0</v>
      </c>
      <c r="M25" s="18">
        <v>0</v>
      </c>
      <c r="N25" s="18">
        <v>0</v>
      </c>
      <c r="O25" s="18">
        <v>0</v>
      </c>
      <c r="P25" s="18">
        <f>25000+10000</f>
        <v>35000</v>
      </c>
    </row>
    <row r="26" spans="1:17" s="4" customFormat="1" ht="28.5" customHeight="1">
      <c r="A26" s="13" t="s">
        <v>41</v>
      </c>
      <c r="B26" s="14"/>
      <c r="C26" s="14"/>
      <c r="D26" s="14"/>
      <c r="E26" s="14"/>
      <c r="F26" s="15" t="s">
        <v>102</v>
      </c>
      <c r="G26" s="16" t="s">
        <v>15</v>
      </c>
      <c r="H26" s="16" t="s">
        <v>34</v>
      </c>
      <c r="I26" s="17" t="s">
        <v>44</v>
      </c>
      <c r="J26" s="21" t="s">
        <v>18</v>
      </c>
      <c r="K26" s="22" t="s">
        <v>45</v>
      </c>
      <c r="L26" s="21">
        <v>0</v>
      </c>
      <c r="M26" s="21">
        <v>0</v>
      </c>
      <c r="N26" s="21">
        <v>0</v>
      </c>
      <c r="O26" s="21">
        <v>0</v>
      </c>
      <c r="P26" s="21">
        <v>24000</v>
      </c>
    </row>
    <row r="27" spans="1:17" s="23" customFormat="1" ht="28.5" customHeight="1">
      <c r="A27" s="32" t="s">
        <v>46</v>
      </c>
      <c r="B27" s="33"/>
      <c r="C27" s="33"/>
      <c r="D27" s="33"/>
      <c r="E27" s="33"/>
      <c r="F27" s="34" t="s">
        <v>42</v>
      </c>
      <c r="G27" s="35" t="s">
        <v>15</v>
      </c>
      <c r="H27" s="35" t="s">
        <v>43</v>
      </c>
      <c r="I27" s="36" t="s">
        <v>47</v>
      </c>
      <c r="J27" s="37" t="s">
        <v>18</v>
      </c>
      <c r="K27" s="38" t="s">
        <v>48</v>
      </c>
      <c r="L27" s="37">
        <v>0</v>
      </c>
      <c r="M27" s="37">
        <v>0</v>
      </c>
      <c r="N27" s="37">
        <f>6732.53+592.47</f>
        <v>7325</v>
      </c>
      <c r="O27" s="37">
        <f>951.62+641.61+1</f>
        <v>1594.23</v>
      </c>
      <c r="P27" s="37">
        <f>L27+M27+N27-O27</f>
        <v>5730.77</v>
      </c>
      <c r="Q27" s="25"/>
    </row>
    <row r="28" spans="1:17" s="23" customFormat="1" ht="28.5" customHeight="1">
      <c r="A28" s="32" t="s">
        <v>123</v>
      </c>
      <c r="B28" s="33"/>
      <c r="C28" s="33"/>
      <c r="D28" s="33"/>
      <c r="E28" s="33"/>
      <c r="F28" s="34" t="s">
        <v>42</v>
      </c>
      <c r="G28" s="35" t="s">
        <v>15</v>
      </c>
      <c r="H28" s="35" t="s">
        <v>43</v>
      </c>
      <c r="I28" s="36" t="s">
        <v>50</v>
      </c>
      <c r="J28" s="37" t="s">
        <v>18</v>
      </c>
      <c r="K28" s="38" t="s">
        <v>51</v>
      </c>
      <c r="L28" s="37">
        <v>0</v>
      </c>
      <c r="M28" s="37">
        <v>0</v>
      </c>
      <c r="N28" s="37">
        <f>12623.5+144.83</f>
        <v>12768.33</v>
      </c>
      <c r="O28" s="37">
        <f>951.62+2313.76+1</f>
        <v>3266.38</v>
      </c>
      <c r="P28" s="37">
        <f t="shared" ref="P28:P36" si="0">L28+M28+N28-O28</f>
        <v>9501.9500000000007</v>
      </c>
    </row>
    <row r="29" spans="1:17" s="23" customFormat="1" ht="28.5" customHeight="1">
      <c r="A29" s="32" t="s">
        <v>94</v>
      </c>
      <c r="B29" s="33"/>
      <c r="C29" s="33"/>
      <c r="D29" s="33"/>
      <c r="E29" s="33"/>
      <c r="F29" s="34" t="s">
        <v>42</v>
      </c>
      <c r="G29" s="35" t="s">
        <v>15</v>
      </c>
      <c r="H29" s="35" t="s">
        <v>43</v>
      </c>
      <c r="I29" s="36" t="s">
        <v>95</v>
      </c>
      <c r="J29" s="37" t="s">
        <v>18</v>
      </c>
      <c r="K29" s="39" t="s">
        <v>97</v>
      </c>
      <c r="L29" s="37">
        <f>2597.47+865.82</f>
        <v>3463.29</v>
      </c>
      <c r="M29" s="37">
        <v>0</v>
      </c>
      <c r="N29" s="37">
        <f>5194.94+365.73</f>
        <v>5560.67</v>
      </c>
      <c r="O29" s="37">
        <f>637.21+362.71+53.33+3095.55+1+314.41</f>
        <v>4464.21</v>
      </c>
      <c r="P29" s="37">
        <f t="shared" si="0"/>
        <v>4559.7499999999991</v>
      </c>
    </row>
    <row r="30" spans="1:17" s="23" customFormat="1" ht="28.5" customHeight="1">
      <c r="A30" s="32" t="s">
        <v>93</v>
      </c>
      <c r="B30" s="33"/>
      <c r="C30" s="33"/>
      <c r="D30" s="33"/>
      <c r="E30" s="33"/>
      <c r="F30" s="34" t="s">
        <v>42</v>
      </c>
      <c r="G30" s="35" t="s">
        <v>15</v>
      </c>
      <c r="H30" s="35" t="s">
        <v>43</v>
      </c>
      <c r="I30" s="36" t="s">
        <v>55</v>
      </c>
      <c r="J30" s="37" t="s">
        <v>18</v>
      </c>
      <c r="K30" s="39" t="s">
        <v>96</v>
      </c>
      <c r="L30" s="37">
        <v>0</v>
      </c>
      <c r="M30" s="37">
        <v>0</v>
      </c>
      <c r="N30" s="37">
        <f>12623.5+70+608.93</f>
        <v>13302.43</v>
      </c>
      <c r="O30" s="37">
        <f>951.62+2261.62+1</f>
        <v>3214.24</v>
      </c>
      <c r="P30" s="37">
        <f t="shared" si="0"/>
        <v>10088.19</v>
      </c>
    </row>
    <row r="31" spans="1:17" s="23" customFormat="1" ht="28.5" customHeight="1">
      <c r="A31" s="32" t="s">
        <v>92</v>
      </c>
      <c r="B31" s="33"/>
      <c r="C31" s="33"/>
      <c r="D31" s="33"/>
      <c r="E31" s="33"/>
      <c r="F31" s="34" t="s">
        <v>42</v>
      </c>
      <c r="G31" s="35" t="s">
        <v>15</v>
      </c>
      <c r="H31" s="35" t="s">
        <v>43</v>
      </c>
      <c r="I31" s="36" t="s">
        <v>49</v>
      </c>
      <c r="J31" s="37" t="s">
        <v>18</v>
      </c>
      <c r="K31" s="39" t="s">
        <v>98</v>
      </c>
      <c r="L31" s="37">
        <v>0</v>
      </c>
      <c r="M31" s="37">
        <v>0</v>
      </c>
      <c r="N31" s="37">
        <f>6261.71+551.04</f>
        <v>6812.75</v>
      </c>
      <c r="O31" s="37">
        <f>951.62+564.27+1</f>
        <v>1516.8899999999999</v>
      </c>
      <c r="P31" s="37">
        <f t="shared" si="0"/>
        <v>5295.8600000000006</v>
      </c>
    </row>
    <row r="32" spans="1:17" s="23" customFormat="1" ht="28.5" customHeight="1">
      <c r="A32" s="32" t="s">
        <v>52</v>
      </c>
      <c r="B32" s="33"/>
      <c r="C32" s="33"/>
      <c r="D32" s="33"/>
      <c r="E32" s="33"/>
      <c r="F32" s="34" t="s">
        <v>42</v>
      </c>
      <c r="G32" s="35" t="s">
        <v>15</v>
      </c>
      <c r="H32" s="35" t="s">
        <v>43</v>
      </c>
      <c r="I32" s="36" t="s">
        <v>53</v>
      </c>
      <c r="J32" s="37" t="s">
        <v>18</v>
      </c>
      <c r="K32" s="38" t="s">
        <v>54</v>
      </c>
      <c r="L32" s="37">
        <v>0</v>
      </c>
      <c r="M32" s="37">
        <v>0</v>
      </c>
      <c r="N32" s="37">
        <f>12623.5+708.95+823.28</f>
        <v>14155.730000000001</v>
      </c>
      <c r="O32" s="37">
        <f>951.62+2540.16+1</f>
        <v>3492.7799999999997</v>
      </c>
      <c r="P32" s="37">
        <f t="shared" si="0"/>
        <v>10662.95</v>
      </c>
    </row>
    <row r="33" spans="1:16" s="23" customFormat="1" ht="28.5" customHeight="1">
      <c r="A33" s="32" t="s">
        <v>56</v>
      </c>
      <c r="B33" s="33"/>
      <c r="C33" s="33"/>
      <c r="D33" s="33"/>
      <c r="E33" s="33"/>
      <c r="F33" s="34" t="s">
        <v>42</v>
      </c>
      <c r="G33" s="35" t="s">
        <v>15</v>
      </c>
      <c r="H33" s="35" t="s">
        <v>43</v>
      </c>
      <c r="I33" s="36" t="s">
        <v>57</v>
      </c>
      <c r="J33" s="37" t="s">
        <v>18</v>
      </c>
      <c r="K33" s="38" t="s">
        <v>58</v>
      </c>
      <c r="L33" s="37">
        <f>12623.5+4207.83</f>
        <v>16831.330000000002</v>
      </c>
      <c r="M33" s="37">
        <v>0</v>
      </c>
      <c r="N33" s="37">
        <v>592.47</v>
      </c>
      <c r="O33" s="37">
        <f>42.77+3482.68+12439.8+908.85</f>
        <v>16874.099999999999</v>
      </c>
      <c r="P33" s="37">
        <f t="shared" si="0"/>
        <v>549.70000000000437</v>
      </c>
    </row>
    <row r="34" spans="1:16" s="23" customFormat="1" ht="28.5" customHeight="1">
      <c r="A34" s="32" t="s">
        <v>124</v>
      </c>
      <c r="B34" s="33"/>
      <c r="C34" s="33"/>
      <c r="D34" s="33"/>
      <c r="E34" s="33"/>
      <c r="F34" s="34" t="s">
        <v>42</v>
      </c>
      <c r="G34" s="35" t="s">
        <v>15</v>
      </c>
      <c r="H34" s="35" t="s">
        <v>43</v>
      </c>
      <c r="I34" s="36" t="s">
        <v>59</v>
      </c>
      <c r="J34" s="37" t="s">
        <v>18</v>
      </c>
      <c r="K34" s="38" t="s">
        <v>60</v>
      </c>
      <c r="L34" s="37">
        <v>0</v>
      </c>
      <c r="M34" s="37">
        <v>0</v>
      </c>
      <c r="N34" s="37">
        <f>12623.5</f>
        <v>12623.5</v>
      </c>
      <c r="O34" s="37">
        <f>951.62+2313.76</f>
        <v>3265.38</v>
      </c>
      <c r="P34" s="37">
        <f t="shared" si="0"/>
        <v>9358.119999999999</v>
      </c>
    </row>
    <row r="35" spans="1:16" s="23" customFormat="1" ht="28.5" customHeight="1">
      <c r="A35" s="32" t="s">
        <v>61</v>
      </c>
      <c r="B35" s="33"/>
      <c r="C35" s="33"/>
      <c r="D35" s="33"/>
      <c r="E35" s="33"/>
      <c r="F35" s="34" t="s">
        <v>42</v>
      </c>
      <c r="G35" s="35" t="s">
        <v>15</v>
      </c>
      <c r="H35" s="35" t="s">
        <v>43</v>
      </c>
      <c r="I35" s="36" t="s">
        <v>62</v>
      </c>
      <c r="J35" s="37" t="s">
        <v>18</v>
      </c>
      <c r="K35" s="38" t="s">
        <v>63</v>
      </c>
      <c r="L35" s="37">
        <v>0</v>
      </c>
      <c r="M35" s="37">
        <v>0</v>
      </c>
      <c r="N35" s="37">
        <f>7792.41+372.33+1790.62</f>
        <v>9955.36</v>
      </c>
      <c r="O35" s="37">
        <f>951.62+1477.63+1</f>
        <v>2430.25</v>
      </c>
      <c r="P35" s="37">
        <f t="shared" si="0"/>
        <v>7525.1100000000006</v>
      </c>
    </row>
    <row r="36" spans="1:16" s="24" customFormat="1" ht="28.5" customHeight="1">
      <c r="A36" s="26" t="s">
        <v>105</v>
      </c>
      <c r="B36" s="27"/>
      <c r="C36" s="27"/>
      <c r="D36" s="27"/>
      <c r="E36" s="27"/>
      <c r="F36" s="34" t="s">
        <v>42</v>
      </c>
      <c r="G36" s="35" t="s">
        <v>15</v>
      </c>
      <c r="H36" s="35" t="s">
        <v>43</v>
      </c>
      <c r="I36" s="36" t="s">
        <v>104</v>
      </c>
      <c r="J36" s="37" t="s">
        <v>18</v>
      </c>
      <c r="K36" s="40" t="s">
        <v>106</v>
      </c>
      <c r="L36" s="37">
        <v>0</v>
      </c>
      <c r="M36" s="37">
        <v>0</v>
      </c>
      <c r="N36" s="21">
        <f>11740.71+551.04+5000</f>
        <v>17291.75</v>
      </c>
      <c r="O36" s="21">
        <f>951.62+3445.99</f>
        <v>4397.6099999999997</v>
      </c>
      <c r="P36" s="37">
        <f t="shared" si="0"/>
        <v>12894.14</v>
      </c>
    </row>
    <row r="37" spans="1:16" s="31" customFormat="1" ht="28.5" customHeight="1">
      <c r="A37" s="26" t="s">
        <v>78</v>
      </c>
      <c r="B37" s="27"/>
      <c r="C37" s="27"/>
      <c r="D37" s="27"/>
      <c r="E37" s="27"/>
      <c r="F37" s="28" t="s">
        <v>76</v>
      </c>
      <c r="G37" s="29" t="s">
        <v>109</v>
      </c>
      <c r="H37" s="29" t="s">
        <v>43</v>
      </c>
      <c r="I37" s="30" t="s">
        <v>77</v>
      </c>
      <c r="J37" s="21" t="s">
        <v>75</v>
      </c>
      <c r="K37" s="22" t="s">
        <v>79</v>
      </c>
      <c r="L37" s="21">
        <v>0</v>
      </c>
      <c r="M37" s="21">
        <v>0</v>
      </c>
      <c r="N37" s="21">
        <f>10886.57+326.6+544.33</f>
        <v>11757.5</v>
      </c>
      <c r="O37" s="21">
        <f>951.62+2075.61</f>
        <v>3027.23</v>
      </c>
      <c r="P37" s="21">
        <f>L37+M37+N37-O37</f>
        <v>8730.27</v>
      </c>
    </row>
    <row r="38" spans="1:16" s="4" customFormat="1" ht="28.5" customHeight="1">
      <c r="A38" s="13" t="s">
        <v>117</v>
      </c>
      <c r="B38" s="14"/>
      <c r="C38" s="14"/>
      <c r="D38" s="14"/>
      <c r="E38" s="14"/>
      <c r="F38" s="15" t="s">
        <v>76</v>
      </c>
      <c r="G38" s="16" t="s">
        <v>109</v>
      </c>
      <c r="H38" s="16" t="s">
        <v>43</v>
      </c>
      <c r="I38" s="17" t="s">
        <v>118</v>
      </c>
      <c r="J38" s="18" t="s">
        <v>75</v>
      </c>
      <c r="K38" s="20" t="s">
        <v>119</v>
      </c>
      <c r="L38" s="18">
        <f>VLOOKUP($A38,[1]Sheet!$B$1:$P$17,8,FALSE)</f>
        <v>0</v>
      </c>
      <c r="M38" s="18">
        <v>0</v>
      </c>
      <c r="N38" s="18">
        <v>6752.53</v>
      </c>
      <c r="O38" s="18">
        <v>1508.27</v>
      </c>
      <c r="P38" s="18">
        <f t="shared" ref="P38:P43" si="1">L38+M38+N38-O38</f>
        <v>5244.26</v>
      </c>
    </row>
    <row r="39" spans="1:16" s="4" customFormat="1" ht="28.5" customHeight="1">
      <c r="A39" s="13" t="s">
        <v>80</v>
      </c>
      <c r="B39" s="14"/>
      <c r="C39" s="14"/>
      <c r="D39" s="14"/>
      <c r="E39" s="14"/>
      <c r="F39" s="15" t="s">
        <v>76</v>
      </c>
      <c r="G39" s="16" t="s">
        <v>109</v>
      </c>
      <c r="H39" s="16" t="s">
        <v>43</v>
      </c>
      <c r="I39" s="17" t="s">
        <v>81</v>
      </c>
      <c r="J39" s="18" t="s">
        <v>75</v>
      </c>
      <c r="K39" s="20" t="s">
        <v>82</v>
      </c>
      <c r="L39" s="18">
        <f>VLOOKUP($A39,[1]Sheet!$B$1:$P$17,8,FALSE)</f>
        <v>0</v>
      </c>
      <c r="M39" s="18">
        <v>0</v>
      </c>
      <c r="N39" s="18">
        <f>VLOOKUP($A39,[1]Sheet!$B$1:$P$17,13,FALSE)-L39</f>
        <v>9069.33</v>
      </c>
      <c r="O39" s="18">
        <v>2312.9899999999998</v>
      </c>
      <c r="P39" s="18">
        <f>L39+M39+N39-O39</f>
        <v>6756.34</v>
      </c>
    </row>
    <row r="40" spans="1:16" s="4" customFormat="1" ht="28.5" customHeight="1">
      <c r="A40" s="13" t="s">
        <v>100</v>
      </c>
      <c r="B40" s="14"/>
      <c r="C40" s="14"/>
      <c r="D40" s="14"/>
      <c r="E40" s="14"/>
      <c r="F40" s="15" t="s">
        <v>76</v>
      </c>
      <c r="G40" s="16" t="s">
        <v>109</v>
      </c>
      <c r="H40" s="16" t="s">
        <v>43</v>
      </c>
      <c r="I40" s="17" t="s">
        <v>101</v>
      </c>
      <c r="J40" s="18" t="s">
        <v>75</v>
      </c>
      <c r="K40" s="20" t="s">
        <v>103</v>
      </c>
      <c r="L40" s="18">
        <f>7356.48+3065.2+2452.16+1021.73</f>
        <v>13895.57</v>
      </c>
      <c r="M40" s="18">
        <v>0</v>
      </c>
      <c r="N40" s="18">
        <f>19992.56-L40</f>
        <v>6096.9900000000016</v>
      </c>
      <c r="O40" s="18">
        <f>19992.56-18908.43</f>
        <v>1084.130000000001</v>
      </c>
      <c r="P40" s="18">
        <f>L40+M40+N40-O40</f>
        <v>18908.43</v>
      </c>
    </row>
    <row r="41" spans="1:16" s="4" customFormat="1" ht="28.5" customHeight="1">
      <c r="A41" s="13" t="s">
        <v>107</v>
      </c>
      <c r="B41" s="14"/>
      <c r="C41" s="14"/>
      <c r="D41" s="14"/>
      <c r="E41" s="14"/>
      <c r="F41" s="15" t="s">
        <v>76</v>
      </c>
      <c r="G41" s="16" t="s">
        <v>109</v>
      </c>
      <c r="H41" s="16" t="s">
        <v>43</v>
      </c>
      <c r="I41" s="17" t="s">
        <v>88</v>
      </c>
      <c r="J41" s="18" t="s">
        <v>75</v>
      </c>
      <c r="K41" s="20" t="s">
        <v>108</v>
      </c>
      <c r="L41" s="18">
        <v>0</v>
      </c>
      <c r="M41" s="18">
        <v>0</v>
      </c>
      <c r="N41" s="18">
        <v>6430.98</v>
      </c>
      <c r="O41" s="18">
        <v>1335.07</v>
      </c>
      <c r="P41" s="18">
        <f t="shared" si="1"/>
        <v>5095.91</v>
      </c>
    </row>
    <row r="42" spans="1:16" s="4" customFormat="1" ht="28.5" customHeight="1">
      <c r="A42" s="13" t="s">
        <v>90</v>
      </c>
      <c r="B42" s="14"/>
      <c r="C42" s="14"/>
      <c r="D42" s="14"/>
      <c r="E42" s="14"/>
      <c r="F42" s="15" t="s">
        <v>76</v>
      </c>
      <c r="G42" s="16" t="s">
        <v>109</v>
      </c>
      <c r="H42" s="16" t="s">
        <v>43</v>
      </c>
      <c r="I42" s="17" t="s">
        <v>89</v>
      </c>
      <c r="J42" s="18" t="s">
        <v>75</v>
      </c>
      <c r="K42" s="20" t="s">
        <v>91</v>
      </c>
      <c r="L42" s="18">
        <f>VLOOKUP($A42,[1]Sheet!$B$1:$P$17,8,FALSE)</f>
        <v>0</v>
      </c>
      <c r="M42" s="18">
        <v>0</v>
      </c>
      <c r="N42" s="18">
        <v>7132.17</v>
      </c>
      <c r="O42" s="18">
        <v>1599.06</v>
      </c>
      <c r="P42" s="18">
        <f t="shared" si="1"/>
        <v>5533.1100000000006</v>
      </c>
    </row>
    <row r="43" spans="1:16" s="4" customFormat="1" ht="28.5" customHeight="1">
      <c r="A43" s="13" t="s">
        <v>110</v>
      </c>
      <c r="B43" s="14"/>
      <c r="C43" s="14"/>
      <c r="D43" s="14"/>
      <c r="E43" s="14"/>
      <c r="F43" s="15" t="s">
        <v>76</v>
      </c>
      <c r="G43" s="16" t="s">
        <v>109</v>
      </c>
      <c r="H43" s="16" t="s">
        <v>43</v>
      </c>
      <c r="I43" s="17" t="s">
        <v>111</v>
      </c>
      <c r="J43" s="18" t="s">
        <v>75</v>
      </c>
      <c r="K43" s="20" t="s">
        <v>112</v>
      </c>
      <c r="L43" s="18">
        <f>1800.67+600.22</f>
        <v>2400.8900000000003</v>
      </c>
      <c r="M43" s="18">
        <v>0</v>
      </c>
      <c r="N43" s="18">
        <v>4951.8500000000004</v>
      </c>
      <c r="O43" s="18">
        <f>165.69+887.86</f>
        <v>1053.55</v>
      </c>
      <c r="P43" s="18">
        <f t="shared" si="1"/>
        <v>6299.1900000000005</v>
      </c>
    </row>
    <row r="44" spans="1:16" s="4" customFormat="1" ht="28.5" customHeight="1">
      <c r="A44" s="13" t="s">
        <v>113</v>
      </c>
      <c r="B44" s="14"/>
      <c r="C44" s="14"/>
      <c r="D44" s="14"/>
      <c r="E44" s="14"/>
      <c r="F44" s="15" t="s">
        <v>76</v>
      </c>
      <c r="G44" s="16" t="s">
        <v>109</v>
      </c>
      <c r="H44" s="16" t="s">
        <v>43</v>
      </c>
      <c r="I44" s="17" t="s">
        <v>114</v>
      </c>
      <c r="J44" s="18" t="s">
        <v>75</v>
      </c>
      <c r="K44" s="20" t="s">
        <v>115</v>
      </c>
      <c r="L44" s="18">
        <f>VLOOKUP($A44,[1]Sheet!$B$1:$P$17,8,FALSE)</f>
        <v>0</v>
      </c>
      <c r="M44" s="18">
        <v>0</v>
      </c>
      <c r="N44" s="18">
        <f>VLOOKUP($A44,[1]Sheet!$B$1:$P$17,13,FALSE)-L44</f>
        <v>6752.53</v>
      </c>
      <c r="O44" s="18">
        <v>1508.27</v>
      </c>
      <c r="P44" s="18">
        <f>L44+M44+N44-O44</f>
        <v>5244.26</v>
      </c>
    </row>
    <row r="45" spans="1:16" s="4" customFormat="1" ht="28.5" customHeight="1">
      <c r="A45" s="2"/>
      <c r="B45" s="1"/>
      <c r="C45" s="1"/>
      <c r="D45" s="1"/>
      <c r="E45" s="1"/>
      <c r="F45" s="2"/>
      <c r="G45" s="2"/>
      <c r="H45" s="2"/>
      <c r="I45" s="3"/>
      <c r="J45" s="1"/>
      <c r="K45" s="1"/>
      <c r="L45" s="1"/>
      <c r="M45" s="1"/>
      <c r="N45" s="1"/>
      <c r="O45" s="1"/>
      <c r="P45" s="1"/>
    </row>
    <row r="46" spans="1:16" s="4" customFormat="1" ht="28.5" customHeight="1">
      <c r="A46" s="10" t="s">
        <v>64</v>
      </c>
      <c r="B46" s="1"/>
      <c r="C46" s="1"/>
      <c r="D46" s="45" t="s">
        <v>99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</row>
    <row r="47" spans="1:16" s="4" customFormat="1" ht="28.5" customHeight="1">
      <c r="A47" s="10" t="s">
        <v>65</v>
      </c>
      <c r="B47" s="1"/>
      <c r="C47" s="1"/>
      <c r="D47" s="1"/>
      <c r="E47" s="1"/>
      <c r="F47" s="2"/>
      <c r="G47" s="2"/>
      <c r="H47" s="2"/>
      <c r="I47" s="3"/>
      <c r="J47" s="1"/>
      <c r="K47" s="1"/>
      <c r="L47" s="1"/>
      <c r="M47" s="1"/>
      <c r="N47" s="1"/>
      <c r="O47" s="1"/>
      <c r="P47" s="1"/>
    </row>
    <row r="48" spans="1:16" s="4" customFormat="1" ht="28.5" customHeight="1">
      <c r="A48" s="11" t="s">
        <v>66</v>
      </c>
      <c r="B48" s="1"/>
      <c r="C48" s="1"/>
      <c r="D48" s="1"/>
      <c r="E48" s="1"/>
      <c r="F48" s="1"/>
      <c r="G48" s="1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8.5" customHeight="1">
      <c r="A49" s="11" t="s">
        <v>67</v>
      </c>
      <c r="B49" s="1"/>
      <c r="C49" s="1"/>
      <c r="D49" s="1"/>
      <c r="E49" s="1"/>
      <c r="F49" s="1"/>
      <c r="G49" s="1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8.5" customHeight="1">
      <c r="A50" s="11" t="s">
        <v>68</v>
      </c>
      <c r="B50" s="1"/>
      <c r="C50" s="1"/>
      <c r="D50" s="1"/>
      <c r="E50" s="1"/>
      <c r="F50" s="1"/>
      <c r="G50" s="1"/>
      <c r="H50" s="2"/>
      <c r="I50" s="3"/>
      <c r="J50" s="1"/>
      <c r="K50" s="12" t="s">
        <v>74</v>
      </c>
      <c r="L50" s="44">
        <f ca="1">TODAY()</f>
        <v>45695</v>
      </c>
      <c r="M50" s="44"/>
      <c r="N50" s="1"/>
      <c r="O50" s="1"/>
      <c r="P50" s="1"/>
    </row>
    <row r="51" spans="1:16" s="4" customFormat="1" ht="28.5" customHeight="1">
      <c r="A51" s="11" t="s">
        <v>69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8.5" customHeight="1">
      <c r="A52" s="11" t="s">
        <v>70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8.5" customHeight="1">
      <c r="A53" s="11" t="s">
        <v>73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8.5" customHeight="1">
      <c r="A54" s="11" t="s">
        <v>87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8.5" customHeight="1">
      <c r="A55" s="11" t="s">
        <v>84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7" spans="1:16" s="4" customFormat="1" ht="28.5" customHeight="1">
      <c r="A57" s="5" t="s">
        <v>71</v>
      </c>
      <c r="B57" s="1"/>
      <c r="C57" s="1"/>
      <c r="D57" s="1"/>
      <c r="E57" s="1"/>
      <c r="F57" s="2"/>
      <c r="G57" s="2"/>
      <c r="H57" s="2"/>
      <c r="I57" s="3"/>
      <c r="J57" s="1"/>
      <c r="K57" s="1"/>
      <c r="L57" s="1"/>
      <c r="M57" s="1"/>
      <c r="N57" s="1"/>
      <c r="O57" s="1"/>
      <c r="P57" s="1"/>
    </row>
  </sheetData>
  <autoFilter ref="A10:P44">
    <filterColumn colId="0" showButton="0"/>
    <filterColumn colId="1" showButton="0"/>
    <filterColumn colId="2" showButton="0"/>
    <filterColumn colId="3" showButton="0"/>
  </autoFilter>
  <mergeCells count="7">
    <mergeCell ref="A10:E10"/>
    <mergeCell ref="A3:P3"/>
    <mergeCell ref="L50:M50"/>
    <mergeCell ref="D46:P46"/>
    <mergeCell ref="A20:E20"/>
    <mergeCell ref="A21:E21"/>
    <mergeCell ref="A22:E22"/>
  </mergeCells>
  <hyperlinks>
    <hyperlink ref="K11" r:id="rId1" display="joel.andrade@igh.org.br"/>
    <hyperlink ref="K23" r:id="rId2" display="paulo.bittencourt@igh.org.br"/>
    <hyperlink ref="K24" r:id="rId3"/>
    <hyperlink ref="K26" r:id="rId4"/>
    <hyperlink ref="K25" r:id="rId5"/>
    <hyperlink ref="K27" r:id="rId6"/>
    <hyperlink ref="K28" r:id="rId7"/>
    <hyperlink ref="K32" r:id="rId8"/>
    <hyperlink ref="K33" r:id="rId9"/>
    <hyperlink ref="K35" r:id="rId10"/>
    <hyperlink ref="K37" r:id="rId11"/>
    <hyperlink ref="K39" r:id="rId12"/>
    <hyperlink ref="K18" r:id="rId13" display="jorge.faco@igh.com.br"/>
    <hyperlink ref="K17" r:id="rId14" display="geraldo.brito@igh.org.br"/>
    <hyperlink ref="K44" r:id="rId15"/>
    <hyperlink ref="K30" r:id="rId16"/>
    <hyperlink ref="K29" r:id="rId17"/>
    <hyperlink ref="K31" r:id="rId18"/>
    <hyperlink ref="K41" r:id="rId19"/>
    <hyperlink ref="K36" r:id="rId20"/>
    <hyperlink ref="K42" r:id="rId21"/>
    <hyperlink ref="K43" r:id="rId22"/>
    <hyperlink ref="K38" r:id="rId23"/>
    <hyperlink ref="K21" r:id="rId24" display="jorge.faco@igh.com.br"/>
    <hyperlink ref="K20" r:id="rId25" display="geraldo.brito@igh.org.br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6"/>
  <ignoredErrors>
    <ignoredError sqref="F32 F35 F27 F28 F33 F34" numberStoredAsText="1"/>
  </ignoredErrors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2025-02-07T18:01:54Z</cp:lastPrinted>
  <dcterms:created xsi:type="dcterms:W3CDTF">2022-01-25T16:42:27Z</dcterms:created>
  <dcterms:modified xsi:type="dcterms:W3CDTF">2025-02-07T18:02:00Z</dcterms:modified>
</cp:coreProperties>
</file>